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<sst xmlns="http://schemas.openxmlformats.org/spreadsheetml/2006/main" count="123" uniqueCount="107">
  <si>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</si>
  <si>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</si>
  <si>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</si>
  <si>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</si>
  <si>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</si>
  <si>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</si>
  <si>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</si>
  <si>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</si>
  <si>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</si>
  <si>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</si>
  <si>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</si>
  <si>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</si>
  <si>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</si>
  <si>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</si>
  <si>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</si>
  <si>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</si>
  <si>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</si>
  <si>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</si>
  <si>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</si>
  <si>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</si>
  <si>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</si>
  <si>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</si>
  <si>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</si>
  <si>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</si>
  <si>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</si>
  <si>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</si>
  <si>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</si>
  <si>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</si>
  <si>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</si>
  <si>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</si>
  <si>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</si>
  <si>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</si>
  <si>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</si>
  <si>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</si>
  <si>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</si>
  <si>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</si>
  <si>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</si>
  <si>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</si>
  <si>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</si>
  <si>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</si>
  <si>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</si>
  <si>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</si>
  <si>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</si>
  <si>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</si>
  <si>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</si>
  <si>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</si>
  <si>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</si>
  <si>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</si>
  <si>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</si>
  <si>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</si>
  <si>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</si>
  <si>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</si>
  <si>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</si>
  <si>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</si>
  <si>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</si>
  <si>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</si>
  <si>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</si>
  <si>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</si>
  <si>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</si>
  <si>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</si>
  <si>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</si>
  <si>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</si>
  <si>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</si>
  <si>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</si>
  <si>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</si>
  <si>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</si>
  <si>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</si>
  <si>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</si>
  <si>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</si>
  <si>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</si>
  <si>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</si>
  <si>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</si>
  <si>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</si>
  <si>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</si>
  <si>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</si>
  <si>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</si>
  <si>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</si>
  <si>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</si>
  <si>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</si>
  <si>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</si>
  <si>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</si>
  <si>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</si>
  <si>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</si>
  <si>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</si>
  <si>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</si>
  <si>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</si>
  <si>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</si>
  <si>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</si>
  <si>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</si>
  <si>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</si>
  <si>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</si>
  <si>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</si>
  <si>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</si>
  <si>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</si>
  <si>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</si>
  <si>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</si>
  <si>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</si>
  <si>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</si>
  <si>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</si>
  <si>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</si>
  <si>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</si>
  <si>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</si>
  <si>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</si>
  <si>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</si>
  <si>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</si>
  <si>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</si>
  <si>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Профінансовано на 31.05.2016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</si>
</sst>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9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7" fillId="20" borderId="1" applyNumberFormat="0" applyAlignment="0" applyProtection="0"/>
    <xf numFmtId="0" fontId="4" fillId="21" borderId="2" applyNumberFormat="0" applyAlignment="0" applyProtection="0"/>
    <xf numFmtId="0" fontId="8" fillId="21" borderId="3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7" applyNumberFormat="0" applyFill="0" applyAlignment="0" applyProtection="0"/>
    <xf numFmtId="0" fontId="42" fillId="22" borderId="8" applyNumberFormat="0" applyAlignment="0" applyProtection="0"/>
    <xf numFmtId="0" fontId="43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5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82" applyFont="1" applyFill="1" applyBorder="1" applyAlignment="1">
      <alignment horizontal="left" wrapText="1"/>
      <protection/>
    </xf>
    <xf numFmtId="0" fontId="15" fillId="0" borderId="11" xfId="82" applyFont="1" applyFill="1" applyBorder="1" applyAlignment="1">
      <alignment horizontal="left" wrapText="1"/>
      <protection/>
    </xf>
    <xf numFmtId="0" fontId="21" fillId="0" borderId="11" xfId="82" applyFont="1" applyFill="1" applyBorder="1" applyAlignment="1">
      <alignment horizontal="left" wrapText="1"/>
      <protection/>
    </xf>
    <xf numFmtId="0" fontId="18" fillId="0" borderId="11" xfId="0" applyFont="1" applyBorder="1" applyAlignment="1">
      <alignment horizontal="center" vertical="center" wrapText="1"/>
    </xf>
    <xf numFmtId="1" fontId="17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 horizontal="left" vertical="center" wrapText="1"/>
    </xf>
    <xf numFmtId="0" fontId="17" fillId="26" borderId="11" xfId="0" applyFont="1" applyFill="1" applyBorder="1" applyAlignment="1">
      <alignment horizontal="center" wrapText="1"/>
    </xf>
    <xf numFmtId="0" fontId="23" fillId="26" borderId="11" xfId="0" applyFont="1" applyFill="1" applyBorder="1" applyAlignment="1">
      <alignment horizont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27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7" fillId="2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wrapText="1"/>
    </xf>
    <xf numFmtId="188" fontId="17" fillId="0" borderId="11" xfId="0" applyNumberFormat="1" applyFont="1" applyBorder="1" applyAlignment="1">
      <alignment horizontal="center" vertical="center" wrapText="1"/>
    </xf>
    <xf numFmtId="188" fontId="17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188" fontId="18" fillId="0" borderId="11" xfId="0" applyNumberFormat="1" applyFont="1" applyBorder="1" applyAlignment="1">
      <alignment horizontal="center" vertical="center" wrapText="1"/>
    </xf>
    <xf numFmtId="188" fontId="18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197" fontId="18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188" fontId="17" fillId="27" borderId="11" xfId="0" applyNumberFormat="1" applyFont="1" applyFill="1" applyBorder="1" applyAlignment="1">
      <alignment horizontal="center" vertical="center" wrapText="1"/>
    </xf>
    <xf numFmtId="188" fontId="18" fillId="27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197" fontId="17" fillId="0" borderId="11" xfId="0" applyNumberFormat="1" applyFont="1" applyFill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88" fontId="15" fillId="0" borderId="11" xfId="0" applyNumberFormat="1" applyFont="1" applyFill="1" applyBorder="1" applyAlignment="1">
      <alignment horizontal="center" vertical="center" wrapText="1"/>
    </xf>
    <xf numFmtId="197" fontId="18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0" fontId="18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198" fontId="17" fillId="26" borderId="11" xfId="0" applyNumberFormat="1" applyFont="1" applyFill="1" applyBorder="1" applyAlignment="1">
      <alignment horizontal="center" vertical="center" wrapText="1"/>
    </xf>
    <xf numFmtId="198" fontId="17" fillId="27" borderId="11" xfId="0" applyNumberFormat="1" applyFont="1" applyFill="1" applyBorder="1" applyAlignment="1">
      <alignment horizontal="center" vertical="center" wrapText="1"/>
    </xf>
    <xf numFmtId="198" fontId="25" fillId="27" borderId="11" xfId="0" applyNumberFormat="1" applyFont="1" applyFill="1" applyBorder="1" applyAlignment="1">
      <alignment horizontal="left" vertical="center" wrapText="1"/>
    </xf>
    <xf numFmtId="198" fontId="25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/>
    </xf>
    <xf numFmtId="198" fontId="17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/>
    </xf>
    <xf numFmtId="198" fontId="17" fillId="0" borderId="11" xfId="0" applyNumberFormat="1" applyFont="1" applyBorder="1" applyAlignment="1">
      <alignment horizontal="center" vertical="center"/>
    </xf>
    <xf numFmtId="49" fontId="17" fillId="2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00" fontId="17" fillId="0" borderId="11" xfId="0" applyNumberFormat="1" applyFont="1" applyFill="1" applyBorder="1" applyAlignment="1">
      <alignment horizontal="center" vertical="center" wrapText="1"/>
    </xf>
    <xf numFmtId="200" fontId="17" fillId="26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0" fontId="2" fillId="26" borderId="11" xfId="0" applyFont="1" applyFill="1" applyBorder="1" applyAlignment="1">
      <alignment wrapText="1"/>
    </xf>
    <xf numFmtId="188" fontId="17" fillId="26" borderId="11" xfId="0" applyNumberFormat="1" applyFont="1" applyFill="1" applyBorder="1" applyAlignment="1">
      <alignment horizontal="center" vertical="center" wrapText="1"/>
    </xf>
    <xf numFmtId="0" fontId="15" fillId="0" borderId="11" xfId="80" applyFont="1" applyFill="1" applyBorder="1" applyAlignment="1">
      <alignment vertical="top" wrapText="1"/>
      <protection/>
    </xf>
    <xf numFmtId="0" fontId="15" fillId="0" borderId="11" xfId="0" applyFont="1" applyFill="1" applyBorder="1" applyAlignment="1">
      <alignment vertical="top" wrapText="1"/>
    </xf>
    <xf numFmtId="4" fontId="15" fillId="27" borderId="11" xfId="81" applyNumberFormat="1" applyFont="1" applyFill="1" applyBorder="1" applyAlignment="1">
      <alignment horizontal="center" vertical="center"/>
      <protection/>
    </xf>
    <xf numFmtId="201" fontId="15" fillId="0" borderId="11" xfId="0" applyNumberFormat="1" applyFont="1" applyBorder="1" applyAlignment="1">
      <alignment horizontal="center" vertical="center"/>
    </xf>
    <xf numFmtId="200" fontId="15" fillId="0" borderId="11" xfId="0" applyNumberFormat="1" applyFont="1" applyBorder="1" applyAlignment="1">
      <alignment horizontal="center"/>
    </xf>
    <xf numFmtId="4" fontId="2" fillId="26" borderId="11" xfId="81" applyNumberFormat="1" applyFont="1" applyFill="1" applyBorder="1" applyAlignment="1">
      <alignment horizontal="center" vertical="center"/>
      <protection/>
    </xf>
    <xf numFmtId="200" fontId="25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6" borderId="11" xfId="0" applyNumberFormat="1" applyFont="1" applyFill="1" applyBorder="1" applyAlignment="1">
      <alignment/>
    </xf>
    <xf numFmtId="200" fontId="15" fillId="26" borderId="11" xfId="0" applyNumberFormat="1" applyFont="1" applyFill="1" applyBorder="1" applyAlignment="1">
      <alignment/>
    </xf>
    <xf numFmtId="0" fontId="16" fillId="26" borderId="11" xfId="0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200" fontId="18" fillId="27" borderId="11" xfId="0" applyNumberFormat="1" applyFont="1" applyFill="1" applyBorder="1" applyAlignment="1">
      <alignment horizontal="center" vertical="center" wrapText="1"/>
    </xf>
    <xf numFmtId="200" fontId="18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4" fontId="17" fillId="26" borderId="11" xfId="0" applyNumberFormat="1" applyFont="1" applyFill="1" applyBorder="1" applyAlignment="1">
      <alignment horizontal="center"/>
    </xf>
    <xf numFmtId="4" fontId="2" fillId="26" borderId="11" xfId="0" applyNumberFormat="1" applyFont="1" applyFill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/>
    </xf>
    <xf numFmtId="196" fontId="15" fillId="0" borderId="11" xfId="0" applyNumberFormat="1" applyFont="1" applyBorder="1" applyAlignment="1">
      <alignment horizontal="center"/>
    </xf>
    <xf numFmtId="0" fontId="17" fillId="27" borderId="11" xfId="0" applyFont="1" applyFill="1" applyBorder="1" applyAlignment="1">
      <alignment horizontal="left" wrapText="1"/>
    </xf>
    <xf numFmtId="198" fontId="25" fillId="27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1" xfId="0" applyNumberFormat="1" applyFont="1" applyBorder="1" applyAlignment="1">
      <alignment horizontal="center"/>
    </xf>
    <xf numFmtId="196" fontId="21" fillId="0" borderId="11" xfId="0" applyNumberFormat="1" applyFont="1" applyBorder="1" applyAlignment="1">
      <alignment horizontal="center" vertical="center"/>
    </xf>
    <xf numFmtId="198" fontId="15" fillId="27" borderId="11" xfId="0" applyNumberFormat="1" applyFont="1" applyFill="1" applyBorder="1" applyAlignment="1">
      <alignment horizontal="center" vertical="center"/>
    </xf>
    <xf numFmtId="196" fontId="15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/>
    </xf>
    <xf numFmtId="4" fontId="15" fillId="0" borderId="11" xfId="81" applyNumberFormat="1" applyFont="1" applyFill="1" applyBorder="1" applyAlignment="1">
      <alignment horizontal="center" vertical="center"/>
      <protection/>
    </xf>
    <xf numFmtId="200" fontId="2" fillId="2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6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55" zoomScaleNormal="55" zoomScalePageLayoutView="0" workbookViewId="0" topLeftCell="A1">
      <selection activeCell="U9" sqref="U9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86"/>
      <c r="R2" s="86"/>
      <c r="S2" s="71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106</v>
      </c>
      <c r="S3" s="111" t="s">
        <v>81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10"/>
      <c r="R4" s="99"/>
      <c r="S4" s="112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SUM(M8:M20)</f>
        <v>11261275</v>
      </c>
      <c r="N7" s="94"/>
      <c r="O7" s="96">
        <f>SUM(O8:O20)</f>
        <v>11261275</v>
      </c>
      <c r="P7" s="96">
        <f>SUM(P8:P20)</f>
        <v>11261275</v>
      </c>
      <c r="Q7" s="95"/>
      <c r="R7" s="96">
        <f>SUM(R8:R20)</f>
        <v>127728.16</v>
      </c>
      <c r="S7" s="96">
        <f>SUM(S8:S20)</f>
        <v>11.715674964877628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19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9546633</v>
      </c>
      <c r="N9" s="48"/>
      <c r="O9" s="93">
        <v>9546633</v>
      </c>
      <c r="P9" s="93">
        <v>9546633</v>
      </c>
      <c r="Q9" s="95"/>
      <c r="R9" s="89">
        <f>40080+66627.6</f>
        <v>106707.6</v>
      </c>
      <c r="S9" s="90">
        <f aca="true" t="shared" si="1" ref="S9:S63">R9/M9*100</f>
        <v>1.1177511484939247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6.25" customHeight="1">
      <c r="A11" s="92" t="s">
        <v>73</v>
      </c>
      <c r="B11" s="64" t="s">
        <v>57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8">
        <f t="shared" si="0"/>
        <v>200000</v>
      </c>
      <c r="N11" s="48"/>
      <c r="O11" s="93">
        <v>200000</v>
      </c>
      <c r="P11" s="93">
        <v>200000</v>
      </c>
      <c r="Q11" s="95"/>
      <c r="R11" s="89">
        <v>0</v>
      </c>
      <c r="S11" s="90">
        <f t="shared" si="1"/>
        <v>0</v>
      </c>
    </row>
    <row r="12" spans="1:19" ht="36.75" customHeight="1">
      <c r="A12" s="92" t="s">
        <v>74</v>
      </c>
      <c r="B12" s="65" t="s">
        <v>95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8">
        <f t="shared" si="0"/>
        <v>105000</v>
      </c>
      <c r="N12" s="48"/>
      <c r="O12" s="93">
        <v>105000</v>
      </c>
      <c r="P12" s="93">
        <v>105000</v>
      </c>
      <c r="Q12" s="95"/>
      <c r="R12" s="89">
        <v>0</v>
      </c>
      <c r="S12" s="90">
        <f t="shared" si="1"/>
        <v>0</v>
      </c>
    </row>
    <row r="13" spans="1:19" ht="34.5" customHeight="1">
      <c r="A13" s="92" t="s">
        <v>75</v>
      </c>
      <c r="B13" s="65" t="s">
        <v>96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8">
        <f t="shared" si="0"/>
        <v>105000</v>
      </c>
      <c r="N13" s="48"/>
      <c r="O13" s="93">
        <v>105000</v>
      </c>
      <c r="P13" s="93">
        <v>105000</v>
      </c>
      <c r="Q13" s="95"/>
      <c r="R13" s="89">
        <v>0</v>
      </c>
      <c r="S13" s="90">
        <f t="shared" si="1"/>
        <v>0</v>
      </c>
    </row>
    <row r="14" spans="1:19" ht="33.75" customHeight="1">
      <c r="A14" s="92" t="s">
        <v>77</v>
      </c>
      <c r="B14" s="65" t="s">
        <v>58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8">
        <f t="shared" si="0"/>
        <v>200000</v>
      </c>
      <c r="N14" s="48"/>
      <c r="O14" s="93">
        <v>200000</v>
      </c>
      <c r="P14" s="93">
        <v>200000</v>
      </c>
      <c r="Q14" s="95"/>
      <c r="R14" s="89">
        <v>3090</v>
      </c>
      <c r="S14" s="90">
        <f t="shared" si="1"/>
        <v>1.545</v>
      </c>
    </row>
    <row r="15" spans="1:19" ht="34.5" customHeight="1">
      <c r="A15" s="92" t="s">
        <v>78</v>
      </c>
      <c r="B15" s="65" t="s">
        <v>97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159367</v>
      </c>
      <c r="N15" s="48"/>
      <c r="O15" s="93">
        <v>159367</v>
      </c>
      <c r="P15" s="93">
        <v>159367</v>
      </c>
      <c r="Q15" s="95"/>
      <c r="R15" s="89">
        <v>12009.56</v>
      </c>
      <c r="S15" s="90">
        <f t="shared" si="1"/>
        <v>7.535788463107168</v>
      </c>
    </row>
    <row r="16" spans="1:19" ht="34.5" customHeight="1">
      <c r="A16" s="92" t="s">
        <v>79</v>
      </c>
      <c r="B16" s="65" t="s">
        <v>98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60000</v>
      </c>
      <c r="N16" s="48"/>
      <c r="O16" s="93">
        <v>60000</v>
      </c>
      <c r="P16" s="93">
        <v>60000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82</v>
      </c>
      <c r="B17" s="65" t="s">
        <v>99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390275</v>
      </c>
      <c r="N17" s="48"/>
      <c r="O17" s="93">
        <v>390275</v>
      </c>
      <c r="P17" s="93">
        <v>390275</v>
      </c>
      <c r="Q17" s="95"/>
      <c r="R17" s="89">
        <v>5921</v>
      </c>
      <c r="S17" s="90">
        <f t="shared" si="1"/>
        <v>1.5171353532765357</v>
      </c>
    </row>
    <row r="18" spans="1:19" ht="39" customHeight="1">
      <c r="A18" s="92" t="s">
        <v>83</v>
      </c>
      <c r="B18" s="65" t="s">
        <v>100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30000</v>
      </c>
      <c r="N18" s="48"/>
      <c r="O18" s="93">
        <v>30000</v>
      </c>
      <c r="P18" s="93">
        <v>30000</v>
      </c>
      <c r="Q18" s="95"/>
      <c r="R18" s="89">
        <v>0</v>
      </c>
      <c r="S18" s="90">
        <f t="shared" si="1"/>
        <v>0</v>
      </c>
    </row>
    <row r="19" spans="1:19" ht="39" customHeight="1">
      <c r="A19" s="92" t="s">
        <v>101</v>
      </c>
      <c r="B19" s="65" t="s">
        <v>102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105000</v>
      </c>
      <c r="N19" s="48"/>
      <c r="O19" s="93">
        <v>105000</v>
      </c>
      <c r="P19" s="93">
        <v>105000</v>
      </c>
      <c r="Q19" s="95"/>
      <c r="R19" s="89">
        <v>0</v>
      </c>
      <c r="S19" s="90">
        <f t="shared" si="1"/>
        <v>0</v>
      </c>
    </row>
    <row r="20" spans="1:19" ht="39" customHeight="1">
      <c r="A20" s="92" t="s">
        <v>103</v>
      </c>
      <c r="B20" s="65" t="s">
        <v>104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v>105000</v>
      </c>
      <c r="N20" s="48"/>
      <c r="O20" s="93">
        <v>105000</v>
      </c>
      <c r="P20" s="93">
        <v>105000</v>
      </c>
      <c r="Q20" s="95"/>
      <c r="R20" s="89">
        <v>0</v>
      </c>
      <c r="S20" s="90">
        <f t="shared" si="1"/>
        <v>0</v>
      </c>
    </row>
    <row r="21" spans="1:19" ht="21" customHeight="1">
      <c r="A21" s="12">
        <v>2</v>
      </c>
      <c r="B21" s="62" t="s">
        <v>59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60">
        <f>M22</f>
        <v>2995635</v>
      </c>
      <c r="N21" s="47"/>
      <c r="O21" s="69">
        <f>M21</f>
        <v>2995635</v>
      </c>
      <c r="P21" s="69">
        <f>O21</f>
        <v>2995635</v>
      </c>
      <c r="R21" s="81">
        <f>R22</f>
        <v>0</v>
      </c>
      <c r="S21" s="82">
        <f t="shared" si="1"/>
        <v>0</v>
      </c>
    </row>
    <row r="22" spans="1:19" ht="66" customHeight="1">
      <c r="A22" s="55" t="s">
        <v>49</v>
      </c>
      <c r="B22" s="65" t="s">
        <v>60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>10000000-6236632-767733</f>
        <v>2995635</v>
      </c>
      <c r="N22" s="48"/>
      <c r="O22" s="66">
        <f>M22</f>
        <v>2995635</v>
      </c>
      <c r="P22" s="66">
        <f>O22</f>
        <v>2995635</v>
      </c>
      <c r="Q22" s="66">
        <f>P22</f>
        <v>2995635</v>
      </c>
      <c r="R22" s="66">
        <v>0</v>
      </c>
      <c r="S22" s="83">
        <f t="shared" si="1"/>
        <v>0</v>
      </c>
    </row>
    <row r="23" spans="1:19" ht="19.5">
      <c r="A23" s="8">
        <v>3</v>
      </c>
      <c r="B23" s="9" t="s">
        <v>13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aca="true" t="shared" si="2" ref="M23:M58">N23+O23</f>
        <v>28400</v>
      </c>
      <c r="N23" s="47">
        <f>N24</f>
        <v>28400</v>
      </c>
      <c r="O23" s="47">
        <f>O24</f>
        <v>0</v>
      </c>
      <c r="P23" s="47">
        <f>P24</f>
        <v>0</v>
      </c>
      <c r="R23" s="47">
        <f>R24</f>
        <v>0</v>
      </c>
      <c r="S23" s="82">
        <f t="shared" si="1"/>
        <v>0</v>
      </c>
    </row>
    <row r="24" spans="1:19" ht="19.5">
      <c r="A24" s="55" t="s">
        <v>54</v>
      </c>
      <c r="B24" s="13" t="s">
        <v>28</v>
      </c>
      <c r="C24" s="14"/>
      <c r="D24" s="14"/>
      <c r="E24" s="15"/>
      <c r="F24" s="14"/>
      <c r="G24" s="14"/>
      <c r="H24" s="16"/>
      <c r="I24" s="16"/>
      <c r="J24" s="16"/>
      <c r="K24" s="16"/>
      <c r="L24" s="16"/>
      <c r="M24" s="59">
        <f t="shared" si="2"/>
        <v>28400</v>
      </c>
      <c r="N24" s="48">
        <v>28400</v>
      </c>
      <c r="O24" s="48">
        <v>0</v>
      </c>
      <c r="P24" s="48">
        <v>0</v>
      </c>
      <c r="R24" s="48">
        <v>0</v>
      </c>
      <c r="S24" s="83">
        <f t="shared" si="1"/>
        <v>0</v>
      </c>
    </row>
    <row r="25" spans="1:19" ht="19.5">
      <c r="A25" s="8">
        <v>4</v>
      </c>
      <c r="B25" s="9" t="s">
        <v>14</v>
      </c>
      <c r="C25" s="10"/>
      <c r="D25" s="10"/>
      <c r="E25" s="11"/>
      <c r="F25" s="10"/>
      <c r="G25" s="10"/>
      <c r="H25" s="12"/>
      <c r="I25" s="12"/>
      <c r="J25" s="12"/>
      <c r="K25" s="12"/>
      <c r="L25" s="12"/>
      <c r="M25" s="60">
        <f t="shared" si="2"/>
        <v>79496688.82000001</v>
      </c>
      <c r="N25" s="47">
        <f>N26+N30+N36+N40+N44+N49+N55+N46+N52+N56+N47+N57+N48+N58+N59</f>
        <v>79496688.82000001</v>
      </c>
      <c r="O25" s="73">
        <f>O59</f>
        <v>0</v>
      </c>
      <c r="P25" s="73">
        <f>P59</f>
        <v>0</v>
      </c>
      <c r="R25" s="47">
        <f>R26+R30+R36+R40+R44+R49+R55+R46+R52+R56+R47+R57+R59+R58</f>
        <v>36532041.09</v>
      </c>
      <c r="S25" s="82">
        <f t="shared" si="1"/>
        <v>45.954166937339366</v>
      </c>
    </row>
    <row r="26" spans="1:19" ht="18.75">
      <c r="A26" s="38" t="s">
        <v>53</v>
      </c>
      <c r="B26" s="17" t="s">
        <v>0</v>
      </c>
      <c r="C26" s="18">
        <v>4945</v>
      </c>
      <c r="D26" s="18" t="e">
        <f>4797.2+#REF!</f>
        <v>#REF!</v>
      </c>
      <c r="E26" s="18">
        <v>516.2</v>
      </c>
      <c r="F26" s="18">
        <v>4326</v>
      </c>
      <c r="G26" s="19">
        <f>7616.03-3700.736</f>
        <v>3915.294</v>
      </c>
      <c r="H26" s="19">
        <v>3323</v>
      </c>
      <c r="I26" s="19">
        <v>4326</v>
      </c>
      <c r="J26" s="19" t="s">
        <v>29</v>
      </c>
      <c r="K26" s="19" t="s">
        <v>29</v>
      </c>
      <c r="L26" s="19" t="s">
        <v>29</v>
      </c>
      <c r="M26" s="59">
        <f t="shared" si="2"/>
        <v>7956400</v>
      </c>
      <c r="N26" s="48">
        <f>N27+N28+N29</f>
        <v>7956400</v>
      </c>
      <c r="O26" s="56"/>
      <c r="P26" s="56"/>
      <c r="R26" s="48">
        <f>R27+R28+R29</f>
        <v>3566435.35</v>
      </c>
      <c r="S26" s="83">
        <f t="shared" si="1"/>
        <v>44.82473668996029</v>
      </c>
    </row>
    <row r="27" spans="1:19" ht="18.75">
      <c r="A27" s="51"/>
      <c r="B27" s="20" t="s">
        <v>30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0">
        <f t="shared" si="2"/>
        <v>3915300</v>
      </c>
      <c r="N27" s="49">
        <v>3915300</v>
      </c>
      <c r="O27" s="56"/>
      <c r="P27" s="56"/>
      <c r="R27" s="49">
        <f>377576+371325+333575+309994.8+343665.2</f>
        <v>1736136</v>
      </c>
      <c r="S27" s="87">
        <f t="shared" si="1"/>
        <v>44.342349245268565</v>
      </c>
    </row>
    <row r="28" spans="1:19" ht="18.75">
      <c r="A28" s="51"/>
      <c r="B28" s="20" t="s">
        <v>31</v>
      </c>
      <c r="C28" s="21"/>
      <c r="D28" s="21"/>
      <c r="E28" s="21"/>
      <c r="F28" s="21"/>
      <c r="G28" s="22"/>
      <c r="H28" s="22"/>
      <c r="I28" s="22"/>
      <c r="J28" s="22"/>
      <c r="K28" s="22"/>
      <c r="L28" s="22"/>
      <c r="M28" s="70">
        <f t="shared" si="2"/>
        <v>3700700</v>
      </c>
      <c r="N28" s="49">
        <v>3700700</v>
      </c>
      <c r="O28" s="56"/>
      <c r="P28" s="56"/>
      <c r="R28" s="49">
        <f>368514.26+320005.16+308997.12+245452.4+488986.08</f>
        <v>1731955.02</v>
      </c>
      <c r="S28" s="87">
        <f t="shared" si="1"/>
        <v>46.800740940903076</v>
      </c>
    </row>
    <row r="29" spans="1:19" ht="37.5">
      <c r="A29" s="51"/>
      <c r="B29" s="5" t="s">
        <v>32</v>
      </c>
      <c r="C29" s="21"/>
      <c r="D29" s="21"/>
      <c r="E29" s="21"/>
      <c r="F29" s="21"/>
      <c r="G29" s="22"/>
      <c r="H29" s="22"/>
      <c r="I29" s="22"/>
      <c r="J29" s="22"/>
      <c r="K29" s="22"/>
      <c r="L29" s="22"/>
      <c r="M29" s="70">
        <f t="shared" si="2"/>
        <v>340400</v>
      </c>
      <c r="N29" s="49">
        <v>340400</v>
      </c>
      <c r="O29" s="56"/>
      <c r="P29" s="56"/>
      <c r="R29" s="49">
        <f>31760+32267.33+557+3492.67+30267.33</f>
        <v>98344.33</v>
      </c>
      <c r="S29" s="88">
        <f t="shared" si="1"/>
        <v>28.89081374853114</v>
      </c>
    </row>
    <row r="30" spans="1:19" ht="18.75">
      <c r="A30" s="38" t="s">
        <v>61</v>
      </c>
      <c r="B30" s="23" t="s">
        <v>1</v>
      </c>
      <c r="C30" s="18">
        <v>5449.4</v>
      </c>
      <c r="D30" s="18">
        <f>C30</f>
        <v>5449.4</v>
      </c>
      <c r="E30" s="18">
        <v>1012.4</v>
      </c>
      <c r="F30" s="18">
        <v>4437</v>
      </c>
      <c r="G30" s="19">
        <v>8582.5</v>
      </c>
      <c r="H30" s="19">
        <v>1513.5</v>
      </c>
      <c r="I30" s="19">
        <v>4437</v>
      </c>
      <c r="J30" s="19"/>
      <c r="K30" s="19"/>
      <c r="L30" s="19"/>
      <c r="M30" s="59">
        <f t="shared" si="2"/>
        <v>5469440</v>
      </c>
      <c r="N30" s="48">
        <f>N31+N32+N33+N34+N35</f>
        <v>5469440</v>
      </c>
      <c r="O30" s="56"/>
      <c r="P30" s="56"/>
      <c r="R30" s="48">
        <f>R31+R32+R33+R34+R35</f>
        <v>2354165.81</v>
      </c>
      <c r="S30" s="83">
        <f t="shared" si="1"/>
        <v>43.04217269043997</v>
      </c>
    </row>
    <row r="31" spans="1:19" ht="18.75">
      <c r="A31" s="51"/>
      <c r="B31" s="25" t="s">
        <v>33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0">
        <f t="shared" si="2"/>
        <v>1799360</v>
      </c>
      <c r="N31" s="50">
        <v>1799360</v>
      </c>
      <c r="O31" s="56"/>
      <c r="P31" s="56"/>
      <c r="R31" s="50">
        <f>217430.51+24131.1+75354.44+26310+83994</f>
        <v>427220.05000000005</v>
      </c>
      <c r="S31" s="87">
        <f t="shared" si="1"/>
        <v>23.742889138360308</v>
      </c>
    </row>
    <row r="32" spans="1:19" ht="18.75">
      <c r="A32" s="51"/>
      <c r="B32" s="25" t="s">
        <v>34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0">
        <f t="shared" si="2"/>
        <v>143000</v>
      </c>
      <c r="N32" s="50">
        <f>45000+98000</f>
        <v>143000</v>
      </c>
      <c r="O32" s="56"/>
      <c r="P32" s="56" t="s">
        <v>105</v>
      </c>
      <c r="R32" s="50">
        <f>30000+97950+15000</f>
        <v>142950</v>
      </c>
      <c r="S32" s="87">
        <f t="shared" si="1"/>
        <v>99.96503496503496</v>
      </c>
    </row>
    <row r="33" spans="1:19" ht="37.5">
      <c r="A33" s="51"/>
      <c r="B33" s="20" t="s">
        <v>35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0">
        <f t="shared" si="2"/>
        <v>3030080</v>
      </c>
      <c r="N33" s="50">
        <f>1231480+1589000+180000+29600</f>
        <v>3030080</v>
      </c>
      <c r="O33" s="56"/>
      <c r="P33" s="56"/>
      <c r="R33" s="50">
        <f>95028.5+188463.6+68400+157936.81+158389.75+145896+29600+29783+198012+97921.6+193183.5+70992+147900+44992.5+21677.5+14703+58116</f>
        <v>1720995.76</v>
      </c>
      <c r="S33" s="88">
        <f t="shared" si="1"/>
        <v>56.79704034216918</v>
      </c>
    </row>
    <row r="34" spans="1:19" ht="18.75">
      <c r="A34" s="51"/>
      <c r="B34" s="20" t="s">
        <v>36</v>
      </c>
      <c r="C34" s="21"/>
      <c r="D34" s="21"/>
      <c r="E34" s="21"/>
      <c r="F34" s="21"/>
      <c r="G34" s="22"/>
      <c r="H34" s="22"/>
      <c r="I34" s="22"/>
      <c r="J34" s="22"/>
      <c r="K34" s="22"/>
      <c r="L34" s="24"/>
      <c r="M34" s="70">
        <f t="shared" si="2"/>
        <v>427000</v>
      </c>
      <c r="N34" s="50">
        <f>252000+175000</f>
        <v>427000</v>
      </c>
      <c r="O34" s="56"/>
      <c r="P34" s="56"/>
      <c r="R34" s="50">
        <f>34750+28250</f>
        <v>63000</v>
      </c>
      <c r="S34" s="87">
        <f t="shared" si="1"/>
        <v>14.754098360655737</v>
      </c>
    </row>
    <row r="35" spans="1:19" ht="18.75">
      <c r="A35" s="51"/>
      <c r="B35" s="20" t="s">
        <v>37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70000</v>
      </c>
      <c r="N35" s="50">
        <v>70000</v>
      </c>
      <c r="O35" s="56"/>
      <c r="P35" s="56"/>
      <c r="R35" s="50">
        <v>0</v>
      </c>
      <c r="S35" s="87">
        <f t="shared" si="1"/>
        <v>0</v>
      </c>
    </row>
    <row r="36" spans="1:19" ht="18.75">
      <c r="A36" s="38" t="s">
        <v>62</v>
      </c>
      <c r="B36" s="17" t="s">
        <v>38</v>
      </c>
      <c r="C36" s="18">
        <f>256.5+80.3</f>
        <v>336.8</v>
      </c>
      <c r="D36" s="18">
        <f>C36</f>
        <v>336.8</v>
      </c>
      <c r="E36" s="18">
        <f>74+23.5</f>
        <v>97.5</v>
      </c>
      <c r="F36" s="18">
        <f>D36-E36</f>
        <v>239.3</v>
      </c>
      <c r="G36" s="26">
        <f>1056.05-187.9-170</f>
        <v>698.15</v>
      </c>
      <c r="H36" s="26">
        <v>74.25</v>
      </c>
      <c r="I36" s="26">
        <v>239.3</v>
      </c>
      <c r="J36" s="26"/>
      <c r="K36" s="26" t="s">
        <v>29</v>
      </c>
      <c r="L36" s="26" t="s">
        <v>29</v>
      </c>
      <c r="M36" s="59">
        <f t="shared" si="2"/>
        <v>625900</v>
      </c>
      <c r="N36" s="48">
        <f>N37+N38+N39</f>
        <v>625900</v>
      </c>
      <c r="O36" s="56"/>
      <c r="P36" s="56"/>
      <c r="R36" s="48">
        <f>R37+R38+R39</f>
        <v>0</v>
      </c>
      <c r="S36" s="83">
        <f t="shared" si="1"/>
        <v>0</v>
      </c>
    </row>
    <row r="37" spans="1:19" ht="18.75">
      <c r="A37" s="51"/>
      <c r="B37" s="20" t="s">
        <v>39</v>
      </c>
      <c r="C37" s="21"/>
      <c r="D37" s="21"/>
      <c r="E37" s="21"/>
      <c r="F37" s="21"/>
      <c r="G37" s="22"/>
      <c r="H37" s="27"/>
      <c r="I37" s="27"/>
      <c r="J37" s="22"/>
      <c r="K37" s="22"/>
      <c r="L37" s="22"/>
      <c r="M37" s="70">
        <f t="shared" si="2"/>
        <v>359256.29</v>
      </c>
      <c r="N37" s="49">
        <f>268000+91256.29</f>
        <v>359256.29</v>
      </c>
      <c r="O37" s="56"/>
      <c r="P37" s="56"/>
      <c r="R37" s="49">
        <v>0</v>
      </c>
      <c r="S37" s="87">
        <f t="shared" si="1"/>
        <v>0</v>
      </c>
    </row>
    <row r="38" spans="1:19" ht="18.75">
      <c r="A38" s="51"/>
      <c r="B38" s="20" t="s">
        <v>40</v>
      </c>
      <c r="C38" s="21"/>
      <c r="D38" s="21"/>
      <c r="E38" s="21"/>
      <c r="F38" s="21"/>
      <c r="G38" s="22"/>
      <c r="H38" s="27"/>
      <c r="I38" s="27"/>
      <c r="J38" s="22"/>
      <c r="K38" s="22"/>
      <c r="L38" s="22"/>
      <c r="M38" s="70">
        <f t="shared" si="2"/>
        <v>78743.71</v>
      </c>
      <c r="N38" s="49">
        <f>170000-91256.29</f>
        <v>78743.71</v>
      </c>
      <c r="O38" s="56"/>
      <c r="P38" s="56"/>
      <c r="R38" s="49">
        <v>0</v>
      </c>
      <c r="S38" s="87">
        <f t="shared" si="1"/>
        <v>0</v>
      </c>
    </row>
    <row r="39" spans="1:19" ht="18.75">
      <c r="A39" s="51"/>
      <c r="B39" s="25" t="s">
        <v>41</v>
      </c>
      <c r="C39" s="21">
        <f>173.3</f>
        <v>173.3</v>
      </c>
      <c r="D39" s="21">
        <f>173.3</f>
        <v>173.3</v>
      </c>
      <c r="E39" s="21">
        <v>83.4</v>
      </c>
      <c r="F39" s="21">
        <f>D39-E39</f>
        <v>89.9</v>
      </c>
      <c r="G39" s="22">
        <f>666.764-14.616-20</f>
        <v>632.148</v>
      </c>
      <c r="H39" s="22">
        <v>166.1</v>
      </c>
      <c r="I39" s="22">
        <v>89.9</v>
      </c>
      <c r="J39" s="22"/>
      <c r="K39" s="22" t="s">
        <v>29</v>
      </c>
      <c r="L39" s="22" t="s">
        <v>29</v>
      </c>
      <c r="M39" s="70">
        <f t="shared" si="2"/>
        <v>187900</v>
      </c>
      <c r="N39" s="30">
        <v>187900</v>
      </c>
      <c r="O39" s="56"/>
      <c r="P39" s="56"/>
      <c r="R39" s="30">
        <v>0</v>
      </c>
      <c r="S39" s="87">
        <f t="shared" si="1"/>
        <v>0</v>
      </c>
    </row>
    <row r="40" spans="1:19" ht="17.25" customHeight="1">
      <c r="A40" s="38" t="s">
        <v>63</v>
      </c>
      <c r="B40" s="23" t="s">
        <v>42</v>
      </c>
      <c r="C40" s="18">
        <f>122.6+1881.1</f>
        <v>2003.6999999999998</v>
      </c>
      <c r="D40" s="18">
        <f>121.8+1840</f>
        <v>1961.8</v>
      </c>
      <c r="E40" s="18">
        <v>27.7</v>
      </c>
      <c r="F40" s="18">
        <f>D40-E40</f>
        <v>1934.1</v>
      </c>
      <c r="G40" s="19">
        <f>2239.093+25.0115+616.4775</f>
        <v>2880.582</v>
      </c>
      <c r="H40" s="19">
        <v>1332.8</v>
      </c>
      <c r="I40" s="18">
        <v>1934.1</v>
      </c>
      <c r="J40" s="19"/>
      <c r="K40" s="19" t="s">
        <v>29</v>
      </c>
      <c r="L40" s="19" t="s">
        <v>29</v>
      </c>
      <c r="M40" s="59">
        <f t="shared" si="2"/>
        <v>2123000</v>
      </c>
      <c r="N40" s="48">
        <f>N41+N42+N43</f>
        <v>2123000</v>
      </c>
      <c r="O40" s="56"/>
      <c r="P40" s="56"/>
      <c r="R40" s="48">
        <f>R41+R42+R43</f>
        <v>498286.91000000003</v>
      </c>
      <c r="S40" s="83">
        <f t="shared" si="1"/>
        <v>23.470886010362698</v>
      </c>
    </row>
    <row r="41" spans="1:19" ht="37.5">
      <c r="A41" s="51"/>
      <c r="B41" s="6" t="s">
        <v>2</v>
      </c>
      <c r="C41" s="21"/>
      <c r="D41" s="21"/>
      <c r="E41" s="21"/>
      <c r="F41" s="21"/>
      <c r="G41" s="22"/>
      <c r="H41" s="22"/>
      <c r="I41" s="21"/>
      <c r="J41" s="22"/>
      <c r="K41" s="22"/>
      <c r="L41" s="22"/>
      <c r="M41" s="70">
        <f t="shared" si="2"/>
        <v>1984500</v>
      </c>
      <c r="N41" s="49">
        <f>1984500</f>
        <v>1984500</v>
      </c>
      <c r="O41" s="56"/>
      <c r="P41" s="56"/>
      <c r="R41" s="49">
        <f>197840.3+18507.64+57600+73630.54+35971.53+30920+76506.15</f>
        <v>490976.16000000003</v>
      </c>
      <c r="S41" s="88">
        <f t="shared" si="1"/>
        <v>24.74054724111867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2"/>
      <c r="I42" s="21"/>
      <c r="J42" s="22"/>
      <c r="K42" s="22"/>
      <c r="L42" s="22"/>
      <c r="M42" s="70">
        <f t="shared" si="2"/>
        <v>117815</v>
      </c>
      <c r="N42" s="49">
        <f>117815</f>
        <v>117815</v>
      </c>
      <c r="O42" s="56"/>
      <c r="P42" s="56"/>
      <c r="R42" s="49">
        <f>5874.96</f>
        <v>5874.96</v>
      </c>
      <c r="S42" s="87">
        <f t="shared" si="1"/>
        <v>4.986597631880491</v>
      </c>
    </row>
    <row r="43" spans="1:19" ht="18.75">
      <c r="A43" s="51"/>
      <c r="B43" s="25" t="s">
        <v>41</v>
      </c>
      <c r="C43" s="21">
        <v>22463.7</v>
      </c>
      <c r="D43" s="21">
        <f>7156.8+15302.9</f>
        <v>22459.7</v>
      </c>
      <c r="E43" s="21">
        <f>1375.6+2420.3</f>
        <v>3795.9</v>
      </c>
      <c r="F43" s="21">
        <v>18663.8</v>
      </c>
      <c r="G43" s="22">
        <v>26758.69305</v>
      </c>
      <c r="H43" s="22" t="e">
        <f>#REF!+#REF!+#REF!+#REF!</f>
        <v>#REF!</v>
      </c>
      <c r="I43" s="22" t="e">
        <f>#REF!+#REF!+#REF!+#REF!</f>
        <v>#REF!</v>
      </c>
      <c r="J43" s="22"/>
      <c r="K43" s="22" t="s">
        <v>29</v>
      </c>
      <c r="L43" s="22" t="s">
        <v>29</v>
      </c>
      <c r="M43" s="70">
        <f t="shared" si="2"/>
        <v>20685</v>
      </c>
      <c r="N43" s="30">
        <v>20685</v>
      </c>
      <c r="O43" s="56"/>
      <c r="P43" s="56"/>
      <c r="R43" s="30">
        <f>848.74+587.05</f>
        <v>1435.79</v>
      </c>
      <c r="S43" s="87">
        <f t="shared" si="1"/>
        <v>6.941213439690596</v>
      </c>
    </row>
    <row r="44" spans="1:19" ht="18.75">
      <c r="A44" s="38" t="s">
        <v>64</v>
      </c>
      <c r="B44" s="28" t="s">
        <v>43</v>
      </c>
      <c r="C44" s="18"/>
      <c r="D44" s="18"/>
      <c r="E44" s="18"/>
      <c r="F44" s="18"/>
      <c r="G44" s="19"/>
      <c r="H44" s="19"/>
      <c r="I44" s="19"/>
      <c r="J44" s="19"/>
      <c r="K44" s="29"/>
      <c r="L44" s="29"/>
      <c r="M44" s="59">
        <f t="shared" si="2"/>
        <v>135989</v>
      </c>
      <c r="N44" s="52">
        <f>N45</f>
        <v>135989</v>
      </c>
      <c r="O44" s="56"/>
      <c r="P44" s="56"/>
      <c r="R44" s="52">
        <f>R45</f>
        <v>74535.07</v>
      </c>
      <c r="S44" s="83">
        <f t="shared" si="1"/>
        <v>54.80963166138439</v>
      </c>
    </row>
    <row r="45" spans="1:19" ht="37.5">
      <c r="A45" s="51"/>
      <c r="B45" s="6" t="s">
        <v>44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70">
        <f t="shared" si="2"/>
        <v>135989</v>
      </c>
      <c r="N45" s="30">
        <f>135989</f>
        <v>135989</v>
      </c>
      <c r="O45" s="56"/>
      <c r="P45" s="56"/>
      <c r="R45" s="30">
        <f>6438.31+13187.76+54909</f>
        <v>74535.07</v>
      </c>
      <c r="S45" s="88">
        <f t="shared" si="1"/>
        <v>54.80963166138439</v>
      </c>
    </row>
    <row r="46" spans="1:19" s="1" customFormat="1" ht="18.75">
      <c r="A46" s="38" t="s">
        <v>65</v>
      </c>
      <c r="B46" s="4" t="s">
        <v>3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5104000</v>
      </c>
      <c r="N46" s="52">
        <v>5104000</v>
      </c>
      <c r="O46" s="56"/>
      <c r="P46" s="58"/>
      <c r="R46" s="52">
        <f>307554.9+660163.29+188518.82</f>
        <v>1156237.01</v>
      </c>
      <c r="S46" s="83">
        <f t="shared" si="1"/>
        <v>22.65354643416928</v>
      </c>
    </row>
    <row r="47" spans="1:19" s="1" customFormat="1" ht="18.75">
      <c r="A47" s="38" t="s">
        <v>66</v>
      </c>
      <c r="B47" s="23" t="s">
        <v>4</v>
      </c>
      <c r="C47" s="21"/>
      <c r="D47" s="21"/>
      <c r="E47" s="21"/>
      <c r="F47" s="21"/>
      <c r="G47" s="22"/>
      <c r="H47" s="22"/>
      <c r="I47" s="22"/>
      <c r="J47" s="22"/>
      <c r="K47" s="24"/>
      <c r="L47" s="24"/>
      <c r="M47" s="59">
        <f t="shared" si="2"/>
        <v>15542500</v>
      </c>
      <c r="N47" s="52">
        <v>15542500</v>
      </c>
      <c r="O47" s="56"/>
      <c r="P47" s="58"/>
      <c r="R47" s="52">
        <f>395040.22+212576.7+295465.16+636768.36+460772.48+515858.1+296210.88+365426.04+149458.82+443155.79+594401.56+144057+0.04+311313.66+432171.11</f>
        <v>5252675.92</v>
      </c>
      <c r="S47" s="83">
        <f t="shared" si="1"/>
        <v>33.79556647900917</v>
      </c>
    </row>
    <row r="48" spans="1:19" s="1" customFormat="1" ht="18.75">
      <c r="A48" s="38" t="s">
        <v>84</v>
      </c>
      <c r="B48" s="23" t="s">
        <v>85</v>
      </c>
      <c r="C48" s="21"/>
      <c r="D48" s="21"/>
      <c r="E48" s="21"/>
      <c r="F48" s="21"/>
      <c r="G48" s="22"/>
      <c r="H48" s="22"/>
      <c r="I48" s="22"/>
      <c r="J48" s="22"/>
      <c r="K48" s="24"/>
      <c r="L48" s="24"/>
      <c r="M48" s="59">
        <f t="shared" si="2"/>
        <v>257000</v>
      </c>
      <c r="N48" s="52">
        <v>257000</v>
      </c>
      <c r="O48" s="56"/>
      <c r="P48" s="58"/>
      <c r="R48" s="52">
        <v>0</v>
      </c>
      <c r="S48" s="83">
        <f t="shared" si="1"/>
        <v>0</v>
      </c>
    </row>
    <row r="49" spans="1:19" ht="18.75">
      <c r="A49" s="38" t="s">
        <v>67</v>
      </c>
      <c r="B49" s="23" t="s">
        <v>9</v>
      </c>
      <c r="C49" s="18">
        <f>20554.4+1254+42.4</f>
        <v>21850.800000000003</v>
      </c>
      <c r="D49" s="18">
        <f>20118.2+1254+42.4</f>
        <v>21414.600000000002</v>
      </c>
      <c r="E49" s="18">
        <f>166.5+18.4</f>
        <v>184.9</v>
      </c>
      <c r="F49" s="18">
        <f>19951.7+1254+24</f>
        <v>21229.7</v>
      </c>
      <c r="G49" s="31">
        <f>25447.6+198</f>
        <v>25645.6</v>
      </c>
      <c r="H49" s="31">
        <v>10120.4</v>
      </c>
      <c r="I49" s="18">
        <v>21229.7</v>
      </c>
      <c r="J49" s="31"/>
      <c r="K49" s="31"/>
      <c r="L49" s="31"/>
      <c r="M49" s="59">
        <f t="shared" si="2"/>
        <v>25052300</v>
      </c>
      <c r="N49" s="52">
        <f>N50+N51</f>
        <v>25052300</v>
      </c>
      <c r="O49" s="56"/>
      <c r="P49" s="56"/>
      <c r="R49" s="52">
        <f>R50+R51</f>
        <v>15411345.309999999</v>
      </c>
      <c r="S49" s="83">
        <f t="shared" si="1"/>
        <v>61.51668832801778</v>
      </c>
    </row>
    <row r="50" spans="1:19" ht="60.75" customHeight="1">
      <c r="A50" s="51"/>
      <c r="B50" s="34" t="s">
        <v>5</v>
      </c>
      <c r="C50" s="21"/>
      <c r="D50" s="21"/>
      <c r="E50" s="21"/>
      <c r="F50" s="21"/>
      <c r="G50" s="32"/>
      <c r="H50" s="32"/>
      <c r="I50" s="32"/>
      <c r="J50" s="7"/>
      <c r="K50" s="32"/>
      <c r="L50" s="33"/>
      <c r="M50" s="70">
        <f t="shared" si="2"/>
        <v>7232100</v>
      </c>
      <c r="N50" s="30">
        <v>7232100</v>
      </c>
      <c r="O50" s="56"/>
      <c r="P50" s="56"/>
      <c r="R50" s="30">
        <f>1341065+264830+1439254.25+119395.75+507870+59340+35936.5+335196.18</f>
        <v>4102887.68</v>
      </c>
      <c r="S50" s="88">
        <f t="shared" si="1"/>
        <v>56.73162262689952</v>
      </c>
    </row>
    <row r="51" spans="1:19" ht="115.5" customHeight="1">
      <c r="A51" s="51"/>
      <c r="B51" s="75" t="s">
        <v>6</v>
      </c>
      <c r="C51" s="21"/>
      <c r="D51" s="21"/>
      <c r="E51" s="21"/>
      <c r="F51" s="21"/>
      <c r="G51" s="32"/>
      <c r="H51" s="32"/>
      <c r="I51" s="32"/>
      <c r="J51" s="7"/>
      <c r="K51" s="32"/>
      <c r="L51" s="33"/>
      <c r="M51" s="70">
        <f t="shared" si="2"/>
        <v>17820200</v>
      </c>
      <c r="N51" s="30">
        <v>17820200</v>
      </c>
      <c r="O51" s="56"/>
      <c r="P51" s="56"/>
      <c r="R51" s="30">
        <f>485919.56+3050150.33+4015340.79+1228787.45+1461675.45+214759.4+851824.65</f>
        <v>11308457.629999999</v>
      </c>
      <c r="S51" s="88">
        <f t="shared" si="1"/>
        <v>63.458645974792645</v>
      </c>
    </row>
    <row r="52" spans="1:19" ht="18.75">
      <c r="A52" s="38" t="s">
        <v>68</v>
      </c>
      <c r="B52" s="36" t="s">
        <v>45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59">
        <f t="shared" si="2"/>
        <v>703500</v>
      </c>
      <c r="N52" s="54">
        <f>N54+N53</f>
        <v>703500</v>
      </c>
      <c r="O52" s="56"/>
      <c r="P52" s="56"/>
      <c r="R52" s="54">
        <f>R54+R53</f>
        <v>6469.49</v>
      </c>
      <c r="S52" s="83">
        <f t="shared" si="1"/>
        <v>0.9196147832267234</v>
      </c>
    </row>
    <row r="53" spans="1:19" ht="18.75">
      <c r="A53" s="51"/>
      <c r="B53" s="20" t="s">
        <v>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70">
        <f t="shared" si="2"/>
        <v>603500</v>
      </c>
      <c r="N53" s="53">
        <f>225000+378500</f>
        <v>603500</v>
      </c>
      <c r="O53" s="56"/>
      <c r="P53" s="56"/>
      <c r="R53" s="53">
        <v>0</v>
      </c>
      <c r="S53" s="83">
        <f t="shared" si="1"/>
        <v>0</v>
      </c>
    </row>
    <row r="54" spans="1:19" ht="18.75">
      <c r="A54" s="51"/>
      <c r="B54" s="20" t="s">
        <v>46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70">
        <f t="shared" si="2"/>
        <v>100000</v>
      </c>
      <c r="N54" s="53">
        <v>100000</v>
      </c>
      <c r="O54" s="56"/>
      <c r="P54" s="56"/>
      <c r="R54" s="53">
        <f>385.27+6084.22</f>
        <v>6469.49</v>
      </c>
      <c r="S54" s="83">
        <f t="shared" si="1"/>
        <v>6.46949</v>
      </c>
    </row>
    <row r="55" spans="1:19" ht="18.75">
      <c r="A55" s="38" t="s">
        <v>69</v>
      </c>
      <c r="B55" s="17" t="s">
        <v>8</v>
      </c>
      <c r="C55" s="18">
        <f>31.3+21.5</f>
        <v>52.8</v>
      </c>
      <c r="D55" s="18">
        <f>C55</f>
        <v>52.8</v>
      </c>
      <c r="E55" s="18">
        <v>0</v>
      </c>
      <c r="F55" s="18">
        <f>D55</f>
        <v>52.8</v>
      </c>
      <c r="G55" s="19">
        <v>100</v>
      </c>
      <c r="H55" s="19">
        <v>0</v>
      </c>
      <c r="I55" s="19">
        <v>52.8</v>
      </c>
      <c r="J55" s="19" t="s">
        <v>29</v>
      </c>
      <c r="K55" s="19" t="s">
        <v>29</v>
      </c>
      <c r="L55" s="19" t="s">
        <v>29</v>
      </c>
      <c r="M55" s="59">
        <f t="shared" si="2"/>
        <v>821358.2</v>
      </c>
      <c r="N55" s="48">
        <v>821358.2</v>
      </c>
      <c r="O55" s="56"/>
      <c r="P55" s="56"/>
      <c r="R55" s="48">
        <f>57313.38+61144.73+58977.29+61169.9</f>
        <v>238605.3</v>
      </c>
      <c r="S55" s="83">
        <f t="shared" si="1"/>
        <v>29.050090447748623</v>
      </c>
    </row>
    <row r="56" spans="1:19" ht="18.75">
      <c r="A56" s="38" t="s">
        <v>70</v>
      </c>
      <c r="B56" s="17" t="s">
        <v>47</v>
      </c>
      <c r="C56" s="18" t="e">
        <f>#REF!+#REF!</f>
        <v>#REF!</v>
      </c>
      <c r="D56" s="18" t="e">
        <f>#REF!+#REF!</f>
        <v>#REF!</v>
      </c>
      <c r="E56" s="18" t="e">
        <f>#REF!+#REF!</f>
        <v>#REF!</v>
      </c>
      <c r="F56" s="18" t="e">
        <f>#REF!+#REF!</f>
        <v>#REF!</v>
      </c>
      <c r="G56" s="19" t="e">
        <f>#REF!+#REF!</f>
        <v>#REF!</v>
      </c>
      <c r="H56" s="19"/>
      <c r="I56" s="19">
        <v>3916.0000000000005</v>
      </c>
      <c r="J56" s="19"/>
      <c r="K56" s="19"/>
      <c r="L56" s="19"/>
      <c r="M56" s="59">
        <f t="shared" si="2"/>
        <v>59112.8</v>
      </c>
      <c r="N56" s="48">
        <f>59136-23.2</f>
        <v>59112.8</v>
      </c>
      <c r="O56" s="56"/>
      <c r="P56" s="56"/>
      <c r="R56" s="48">
        <v>15318.9</v>
      </c>
      <c r="S56" s="83">
        <f t="shared" si="1"/>
        <v>25.91469191105818</v>
      </c>
    </row>
    <row r="57" spans="1:19" ht="37.5">
      <c r="A57" s="38" t="s">
        <v>71</v>
      </c>
      <c r="B57" s="84" t="s">
        <v>80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 t="shared" si="2"/>
        <v>5475807.68</v>
      </c>
      <c r="N57" s="48">
        <v>5475807.68</v>
      </c>
      <c r="O57" s="56"/>
      <c r="P57" s="61"/>
      <c r="R57" s="53">
        <v>5475807.68</v>
      </c>
      <c r="S57" s="87">
        <f t="shared" si="1"/>
        <v>100</v>
      </c>
    </row>
    <row r="58" spans="1:19" ht="37.5">
      <c r="A58" s="38" t="s">
        <v>86</v>
      </c>
      <c r="B58" s="84" t="s">
        <v>87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59">
        <f t="shared" si="2"/>
        <v>170381.14</v>
      </c>
      <c r="N58" s="48">
        <f>550000-379618.86</f>
        <v>170381.14</v>
      </c>
      <c r="O58" s="56"/>
      <c r="P58" s="61"/>
      <c r="R58" s="53">
        <v>170381.14</v>
      </c>
      <c r="S58" s="87">
        <f t="shared" si="1"/>
        <v>100</v>
      </c>
    </row>
    <row r="59" spans="1:19" ht="37.5">
      <c r="A59" s="38" t="s">
        <v>88</v>
      </c>
      <c r="B59" s="17" t="s">
        <v>93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59">
        <f>N59+O59</f>
        <v>10000000</v>
      </c>
      <c r="N59" s="48">
        <f>N60+N61+N62</f>
        <v>10000000</v>
      </c>
      <c r="O59" s="67"/>
      <c r="P59" s="68"/>
      <c r="R59" s="48">
        <f>R60+R61+R62</f>
        <v>2311777.2</v>
      </c>
      <c r="S59" s="91">
        <f t="shared" si="1"/>
        <v>23.117772000000002</v>
      </c>
    </row>
    <row r="60" spans="1:19" ht="18.75">
      <c r="A60" s="38"/>
      <c r="B60" s="20" t="s">
        <v>89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0">
        <f>N60+O60</f>
        <v>2000000</v>
      </c>
      <c r="N60" s="85">
        <f>1500000+500000</f>
        <v>2000000</v>
      </c>
      <c r="O60" s="67"/>
      <c r="P60" s="68"/>
      <c r="R60" s="53">
        <f>185695.2+283914.6+257099.4</f>
        <v>726709.2</v>
      </c>
      <c r="S60" s="87">
        <f t="shared" si="1"/>
        <v>36.33546</v>
      </c>
    </row>
    <row r="61" spans="1:19" ht="18.75">
      <c r="A61" s="38"/>
      <c r="B61" s="20" t="s">
        <v>90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70">
        <f>N61+O61</f>
        <v>4500000</v>
      </c>
      <c r="N61" s="85">
        <f>5000000-500000</f>
        <v>4500000</v>
      </c>
      <c r="O61" s="67"/>
      <c r="P61" s="68"/>
      <c r="R61" s="53">
        <f>309091.2+295428.55+104848.25</f>
        <v>709368</v>
      </c>
      <c r="S61" s="87">
        <f t="shared" si="1"/>
        <v>15.763733333333333</v>
      </c>
    </row>
    <row r="62" spans="1:19" ht="18.75">
      <c r="A62" s="38"/>
      <c r="B62" s="20" t="s">
        <v>91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70">
        <f>N62+O62</f>
        <v>3500000</v>
      </c>
      <c r="N62" s="85">
        <v>3500000</v>
      </c>
      <c r="O62" s="67"/>
      <c r="P62" s="68"/>
      <c r="R62" s="53">
        <f>74552+801148</f>
        <v>875700</v>
      </c>
      <c r="S62" s="87">
        <f t="shared" si="1"/>
        <v>25.019999999999996</v>
      </c>
    </row>
    <row r="63" spans="1:19" ht="18.75">
      <c r="A63" s="39"/>
      <c r="B63" s="40" t="s">
        <v>50</v>
      </c>
      <c r="C63" s="39"/>
      <c r="D63" s="39"/>
      <c r="E63" s="39"/>
      <c r="F63" s="39"/>
      <c r="G63" s="72"/>
      <c r="H63" s="72"/>
      <c r="I63" s="72"/>
      <c r="J63" s="72"/>
      <c r="K63" s="72"/>
      <c r="L63" s="72"/>
      <c r="M63" s="60">
        <f>M7+M21+M23+M25</f>
        <v>93781998.82000001</v>
      </c>
      <c r="N63" s="60">
        <f>N7+N21+N23+N25</f>
        <v>79525088.82000001</v>
      </c>
      <c r="O63" s="60">
        <f>O7+O21+O23+O25</f>
        <v>14256910</v>
      </c>
      <c r="P63" s="60">
        <f>P7+P21+P23+P25</f>
        <v>14256910</v>
      </c>
      <c r="R63" s="80">
        <f>R21+R23+R25</f>
        <v>36532041.09</v>
      </c>
      <c r="S63" s="82">
        <f t="shared" si="1"/>
        <v>38.954214614382</v>
      </c>
    </row>
    <row r="64" spans="2:15" ht="12.75" hidden="1">
      <c r="B64">
        <v>2240</v>
      </c>
      <c r="M64" s="41">
        <f>M24+M27+M30+M37+M46+M47+M49+M56</f>
        <v>55530309.089999996</v>
      </c>
      <c r="O64" s="56"/>
    </row>
    <row r="65" spans="2:15" ht="12.75" hidden="1">
      <c r="B65">
        <v>2272</v>
      </c>
      <c r="M65" s="41">
        <f>M38+M42+M53</f>
        <v>800058.71</v>
      </c>
      <c r="O65" s="56"/>
    </row>
    <row r="66" spans="2:15" ht="12.75" hidden="1">
      <c r="B66">
        <v>2273</v>
      </c>
      <c r="M66" s="41">
        <f>M28+M39+M43+M55+M54</f>
        <v>4830643.2</v>
      </c>
      <c r="O66" s="56"/>
    </row>
    <row r="67" spans="2:15" ht="12.75" hidden="1">
      <c r="B67">
        <v>2610</v>
      </c>
      <c r="M67" s="41">
        <f>M29+M41+M45</f>
        <v>2460889</v>
      </c>
      <c r="O67" s="56"/>
    </row>
    <row r="68" spans="13:15" ht="12.75" hidden="1">
      <c r="M68" s="41">
        <f>M64+M65+M66+M67</f>
        <v>63621900</v>
      </c>
      <c r="O68" s="56"/>
    </row>
    <row r="71" spans="2:13" ht="18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</row>
  </sheetData>
  <sheetProtection/>
  <mergeCells count="14">
    <mergeCell ref="A3:A4"/>
    <mergeCell ref="B3:B4"/>
    <mergeCell ref="H3:H4"/>
    <mergeCell ref="S3:S4"/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123</cp:lastModifiedBy>
  <cp:lastPrinted>2016-05-26T11:12:51Z</cp:lastPrinted>
  <dcterms:created xsi:type="dcterms:W3CDTF">2014-01-17T10:52:16Z</dcterms:created>
  <dcterms:modified xsi:type="dcterms:W3CDTF">2016-05-31T13:01:54Z</dcterms:modified>
  <cp:category/>
  <cp:version/>
  <cp:contentType/>
  <cp:contentStatus/>
</cp:coreProperties>
</file>